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85" windowWidth="20730" windowHeight="10875"/>
  </bookViews>
  <sheets>
    <sheet name="Proposed 12_1_11" sheetId="1" r:id="rId1"/>
  </sheets>
  <definedNames>
    <definedName name="_xlnm.Print_Titles" localSheetId="0">'Proposed 12_1_11'!$1:$4</definedName>
  </definedNames>
  <calcPr calcId="145621"/>
</workbook>
</file>

<file path=xl/calcChain.xml><?xml version="1.0" encoding="utf-8"?>
<calcChain xmlns="http://schemas.openxmlformats.org/spreadsheetml/2006/main">
  <c r="C54" i="1" l="1"/>
  <c r="D43" i="1" l="1"/>
  <c r="D44" i="1"/>
  <c r="D38" i="1"/>
  <c r="D37" i="1"/>
  <c r="D36" i="1"/>
  <c r="D34" i="1"/>
  <c r="D20" i="1"/>
  <c r="D15" i="1"/>
  <c r="D7" i="1"/>
  <c r="D47" i="1" l="1"/>
  <c r="D48" i="1" l="1"/>
  <c r="H49" i="1" l="1"/>
  <c r="F50" i="1"/>
  <c r="F25" i="1"/>
  <c r="F52" i="1"/>
  <c r="F51" i="1"/>
  <c r="F48" i="1"/>
  <c r="F47" i="1"/>
  <c r="F46" i="1"/>
  <c r="F45" i="1"/>
  <c r="F44" i="1"/>
  <c r="F39" i="1"/>
  <c r="F38" i="1"/>
  <c r="F37" i="1"/>
  <c r="F36" i="1"/>
  <c r="F35" i="1"/>
  <c r="F34" i="1"/>
  <c r="F30" i="1"/>
  <c r="F29" i="1"/>
  <c r="F28" i="1"/>
  <c r="F27" i="1"/>
  <c r="F26" i="1"/>
  <c r="F21" i="1"/>
  <c r="F20" i="1"/>
  <c r="F16" i="1"/>
  <c r="F15" i="1"/>
  <c r="F11" i="1"/>
  <c r="F10" i="1"/>
  <c r="F9" i="1"/>
  <c r="F8" i="1"/>
  <c r="F7" i="1"/>
  <c r="E53" i="1"/>
  <c r="E40" i="1"/>
  <c r="E31" i="1"/>
  <c r="E22" i="1"/>
  <c r="E17" i="1"/>
  <c r="E12" i="1"/>
  <c r="L52" i="1"/>
  <c r="L51" i="1"/>
  <c r="L50" i="1"/>
  <c r="L49" i="1"/>
  <c r="L48" i="1"/>
  <c r="L47" i="1"/>
  <c r="L46" i="1"/>
  <c r="L45" i="1"/>
  <c r="L44" i="1"/>
  <c r="L43" i="1"/>
  <c r="L39" i="1"/>
  <c r="L38" i="1"/>
  <c r="L37" i="1"/>
  <c r="L36" i="1"/>
  <c r="L35" i="1"/>
  <c r="L34" i="1"/>
  <c r="L30" i="1"/>
  <c r="L29" i="1"/>
  <c r="L28" i="1"/>
  <c r="L27" i="1"/>
  <c r="L26" i="1"/>
  <c r="L25" i="1"/>
  <c r="L21" i="1"/>
  <c r="L20" i="1"/>
  <c r="L16" i="1"/>
  <c r="L15" i="1"/>
  <c r="L11" i="1"/>
  <c r="L10" i="1"/>
  <c r="L9" i="1"/>
  <c r="L8" i="1"/>
  <c r="L7" i="1"/>
  <c r="K12" i="1"/>
  <c r="K17" i="1"/>
  <c r="K22" i="1"/>
  <c r="K31" i="1"/>
  <c r="K40" i="1"/>
  <c r="K53" i="1"/>
  <c r="J53" i="1"/>
  <c r="J40" i="1"/>
  <c r="J31" i="1"/>
  <c r="J22" i="1"/>
  <c r="J17" i="1"/>
  <c r="J12" i="1"/>
  <c r="H48" i="1"/>
  <c r="H51" i="1"/>
  <c r="G53" i="1"/>
  <c r="H52" i="1"/>
  <c r="H47" i="1"/>
  <c r="H46" i="1"/>
  <c r="H45" i="1"/>
  <c r="H44" i="1"/>
  <c r="G40" i="1"/>
  <c r="D40" i="1"/>
  <c r="H39" i="1"/>
  <c r="H38" i="1"/>
  <c r="H37" i="1"/>
  <c r="H36" i="1"/>
  <c r="H35" i="1"/>
  <c r="H34" i="1"/>
  <c r="H29" i="1"/>
  <c r="G31" i="1"/>
  <c r="D31" i="1"/>
  <c r="H30" i="1"/>
  <c r="H28" i="1"/>
  <c r="H27" i="1"/>
  <c r="H26" i="1"/>
  <c r="G22" i="1"/>
  <c r="D22" i="1"/>
  <c r="H21" i="1"/>
  <c r="H20" i="1"/>
  <c r="G17" i="1"/>
  <c r="D17" i="1"/>
  <c r="H16" i="1"/>
  <c r="H15" i="1"/>
  <c r="G12" i="1"/>
  <c r="D12" i="1"/>
  <c r="H11" i="1"/>
  <c r="H10" i="1"/>
  <c r="H9" i="1"/>
  <c r="H8" i="1"/>
  <c r="H7" i="1"/>
  <c r="F49" i="1" l="1"/>
  <c r="H50" i="1"/>
  <c r="L40" i="1"/>
  <c r="F22" i="1"/>
  <c r="L22" i="1"/>
  <c r="F31" i="1"/>
  <c r="L12" i="1"/>
  <c r="L53" i="1"/>
  <c r="L17" i="1"/>
  <c r="F40" i="1"/>
  <c r="F12" i="1"/>
  <c r="F17" i="1"/>
  <c r="L31" i="1"/>
  <c r="H25" i="1"/>
  <c r="E54" i="1"/>
  <c r="K54" i="1"/>
  <c r="J54" i="1"/>
  <c r="H40" i="1"/>
  <c r="G54" i="1"/>
  <c r="H22" i="1"/>
  <c r="H31" i="1"/>
  <c r="H17" i="1"/>
  <c r="H12" i="1"/>
  <c r="L54" i="1" l="1"/>
  <c r="H43" i="1" l="1"/>
  <c r="F43" i="1"/>
  <c r="D53" i="1"/>
  <c r="H53" i="1" s="1"/>
  <c r="F53" i="1" l="1"/>
  <c r="D54" i="1"/>
  <c r="H54" i="1" l="1"/>
  <c r="F54" i="1"/>
</calcChain>
</file>

<file path=xl/comments1.xml><?xml version="1.0" encoding="utf-8"?>
<comments xmlns="http://schemas.openxmlformats.org/spreadsheetml/2006/main">
  <authors>
    <author>Jacobson, Dawn M.</author>
  </authors>
  <commentList>
    <comment ref="D47" authorId="0">
      <text>
        <r>
          <rPr>
            <b/>
            <sz val="9"/>
            <color indexed="81"/>
            <rFont val="Tahoma"/>
            <family val="2"/>
          </rPr>
          <t>Jacobson, Dawn M.:</t>
        </r>
        <r>
          <rPr>
            <sz val="9"/>
            <color indexed="81"/>
            <rFont val="Tahoma"/>
            <family val="2"/>
          </rPr>
          <t xml:space="preserve">
$7.5/hour for 4 hours per week for 20 weeks
Per Cheryl</t>
        </r>
      </text>
    </comment>
  </commentList>
</comments>
</file>

<file path=xl/sharedStrings.xml><?xml version="1.0" encoding="utf-8"?>
<sst xmlns="http://schemas.openxmlformats.org/spreadsheetml/2006/main" count="67" uniqueCount="59">
  <si>
    <t>2012 Budget</t>
  </si>
  <si>
    <t>STAFF</t>
  </si>
  <si>
    <t>Senior Pastor</t>
  </si>
  <si>
    <t>Salary/FICA/Housing</t>
  </si>
  <si>
    <t>Travel Allowance</t>
  </si>
  <si>
    <t>Pension/Insurance</t>
  </si>
  <si>
    <t>Supplemental Insurance</t>
  </si>
  <si>
    <t>Continuing Education</t>
  </si>
  <si>
    <t>Total Senior Pastor</t>
  </si>
  <si>
    <t>Support Pastor</t>
  </si>
  <si>
    <t>Salary</t>
  </si>
  <si>
    <t>Travel Expense</t>
  </si>
  <si>
    <t>Total Support Pastor</t>
  </si>
  <si>
    <t>Youth Director</t>
  </si>
  <si>
    <t>Youth Assistant</t>
  </si>
  <si>
    <t>Total Youth Director</t>
  </si>
  <si>
    <t>Assoc. In Ministry (A.I.M.)</t>
  </si>
  <si>
    <t>Dental Premium</t>
  </si>
  <si>
    <t>Total A.I.M.</t>
  </si>
  <si>
    <t>Music Staff</t>
  </si>
  <si>
    <t>Organist</t>
  </si>
  <si>
    <t>Organist - subs</t>
  </si>
  <si>
    <t>Revelation Band</t>
  </si>
  <si>
    <t>Chancel Choir Director</t>
  </si>
  <si>
    <t>Youth Choir</t>
  </si>
  <si>
    <t>Music - Extra</t>
  </si>
  <si>
    <t>Total Music Staff</t>
  </si>
  <si>
    <t>Other Staff</t>
  </si>
  <si>
    <t>Total Other Staff</t>
  </si>
  <si>
    <t>Custodians</t>
  </si>
  <si>
    <t>Staff Development</t>
  </si>
  <si>
    <t>Staff Contingency/Jan T Gift</t>
  </si>
  <si>
    <t>Nursery Staff</t>
  </si>
  <si>
    <t>Church - FICA/MED</t>
  </si>
  <si>
    <t>Workers Compensation</t>
  </si>
  <si>
    <t>Supply Pastor Expenses</t>
  </si>
  <si>
    <t>Staff Compensation</t>
  </si>
  <si>
    <t>TOTAL STAFF</t>
  </si>
  <si>
    <t>Nov YTD Budget</t>
  </si>
  <si>
    <t>Nov YTD Actual</t>
  </si>
  <si>
    <t>Actual vs Budget</t>
  </si>
  <si>
    <t>2012 Budget vs Prior Year</t>
  </si>
  <si>
    <t>Full Year</t>
  </si>
  <si>
    <t>2011 Year to Date (YTD)</t>
  </si>
  <si>
    <t>2011 Budget</t>
  </si>
  <si>
    <t>2012 Budget vs 2011 Budget</t>
  </si>
  <si>
    <t>2010 Prior Year Actual</t>
  </si>
  <si>
    <t>Lutheran Church of the Resurrection</t>
  </si>
  <si>
    <t>Financial Secretary (3 days/week)</t>
  </si>
  <si>
    <t>Parish Secretary (full time)</t>
  </si>
  <si>
    <t>NOTES</t>
  </si>
  <si>
    <t>ELCA Average</t>
  </si>
  <si>
    <t>Per Cheryl:  ELC Board of Pensions</t>
  </si>
  <si>
    <t>Current Rate - new hire</t>
  </si>
  <si>
    <t>2011 had 2 people;  2012 should only have one</t>
  </si>
  <si>
    <t>Increased by donors</t>
  </si>
  <si>
    <t>Estimate from Cheryl</t>
  </si>
  <si>
    <t>Must have documentation</t>
  </si>
  <si>
    <t>greater hours per week to reflect current trend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</si>
</sst>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164" fontId="0" fillId="0" borderId="0" xfId="1" applyNumberFormat="1" applyFont="1" applyAlignment="1">
      <alignment vertical="center"/>
    </xf>
    <xf numFmtId="164" fontId="2" fillId="0" borderId="1" xfId="1" applyNumberFormat="1" applyFont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center" vertical="center" wrapText="1"/>
    </xf>
    <xf numFmtId="164" fontId="2" fillId="0" borderId="3" xfId="1" applyNumberFormat="1" applyFont="1" applyBorder="1" applyAlignment="1">
      <alignment horizontal="center" vertical="center" wrapText="1"/>
    </xf>
    <xf numFmtId="164" fontId="2" fillId="0" borderId="0" xfId="1" applyNumberFormat="1" applyFont="1" applyAlignment="1">
      <alignment vertical="center"/>
    </xf>
    <xf numFmtId="164" fontId="3" fillId="0" borderId="0" xfId="1" applyNumberFormat="1" applyFont="1" applyAlignment="1">
      <alignment vertical="center"/>
    </xf>
    <xf numFmtId="165" fontId="0" fillId="0" borderId="0" xfId="2" applyNumberFormat="1" applyFont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0" fillId="0" borderId="0" xfId="1" applyNumberFormat="1" applyFont="1" applyAlignment="1">
      <alignment horizontal="center" vertical="center" wrapText="1"/>
    </xf>
    <xf numFmtId="164" fontId="2" fillId="0" borderId="7" xfId="1" applyNumberFormat="1" applyFont="1" applyBorder="1" applyAlignment="1">
      <alignment horizontal="center" vertical="center" wrapText="1"/>
    </xf>
    <xf numFmtId="164" fontId="4" fillId="0" borderId="0" xfId="1" applyNumberFormat="1" applyFont="1" applyAlignment="1">
      <alignment vertical="center"/>
    </xf>
    <xf numFmtId="164" fontId="2" fillId="0" borderId="0" xfId="1" applyNumberFormat="1" applyFont="1" applyAlignment="1">
      <alignment horizontal="center" vertical="center" wrapText="1"/>
    </xf>
    <xf numFmtId="164" fontId="2" fillId="2" borderId="0" xfId="1" applyNumberFormat="1" applyFont="1" applyFill="1" applyAlignment="1">
      <alignment vertical="center"/>
    </xf>
    <xf numFmtId="165" fontId="2" fillId="2" borderId="0" xfId="2" applyNumberFormat="1" applyFont="1" applyFill="1" applyAlignment="1">
      <alignment horizontal="center" vertical="center"/>
    </xf>
    <xf numFmtId="44" fontId="0" fillId="0" borderId="0" xfId="1" applyNumberFormat="1" applyFont="1" applyAlignment="1">
      <alignment vertical="center"/>
    </xf>
    <xf numFmtId="164" fontId="8" fillId="0" borderId="0" xfId="1" applyNumberFormat="1" applyFont="1" applyAlignment="1">
      <alignment vertical="center"/>
    </xf>
    <xf numFmtId="165" fontId="2" fillId="2" borderId="0" xfId="2" applyNumberFormat="1" applyFont="1" applyFill="1" applyAlignment="1">
      <alignment horizontal="left" vertical="center"/>
    </xf>
    <xf numFmtId="9" fontId="8" fillId="0" borderId="0" xfId="2" applyFont="1" applyAlignment="1">
      <alignment vertical="center"/>
    </xf>
    <xf numFmtId="164" fontId="0" fillId="0" borderId="0" xfId="1" applyNumberFormat="1" applyFont="1" applyAlignment="1">
      <alignment horizontal="center" vertical="center" wrapText="1"/>
    </xf>
    <xf numFmtId="164" fontId="8" fillId="0" borderId="0" xfId="1" applyNumberFormat="1" applyFont="1" applyAlignment="1">
      <alignment vertical="center"/>
    </xf>
    <xf numFmtId="1" fontId="2" fillId="3" borderId="4" xfId="1" applyNumberFormat="1" applyFont="1" applyFill="1" applyBorder="1" applyAlignment="1">
      <alignment horizontal="center" vertical="center"/>
    </xf>
    <xf numFmtId="1" fontId="2" fillId="3" borderId="6" xfId="1" applyNumberFormat="1" applyFont="1" applyFill="1" applyBorder="1" applyAlignment="1">
      <alignment horizontal="center" vertical="center"/>
    </xf>
    <xf numFmtId="1" fontId="2" fillId="3" borderId="5" xfId="1" applyNumberFormat="1" applyFont="1" applyFill="1" applyBorder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  <xf numFmtId="164" fontId="4" fillId="0" borderId="0" xfId="1" applyNumberFormat="1" applyFont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CCCC00"/>
      <color rgb="FF808000"/>
      <color rgb="FFFFCC66"/>
      <color rgb="FFB8CCE4"/>
      <color rgb="FFFF99FF"/>
      <color rgb="FFCCFFCC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55"/>
  <sheetViews>
    <sheetView showGridLines="0" tabSelected="1" workbookViewId="0">
      <selection sqref="A1:M1"/>
    </sheetView>
  </sheetViews>
  <sheetFormatPr defaultRowHeight="15" x14ac:dyDescent="0.25"/>
  <cols>
    <col min="1" max="1" width="4.28515625" style="5" customWidth="1"/>
    <col min="2" max="2" width="9.140625" style="1"/>
    <col min="3" max="3" width="24.7109375" style="1" customWidth="1"/>
    <col min="4" max="6" width="12.140625" style="1" customWidth="1"/>
    <col min="7" max="7" width="12.5703125" style="1" bestFit="1" customWidth="1"/>
    <col min="8" max="8" width="11.85546875" style="8" customWidth="1"/>
    <col min="9" max="9" width="4.5703125" style="1" customWidth="1"/>
    <col min="10" max="10" width="12.5703125" style="1" bestFit="1" customWidth="1"/>
    <col min="11" max="11" width="11.7109375" style="1" customWidth="1"/>
    <col min="12" max="12" width="10" style="8" bestFit="1" customWidth="1"/>
    <col min="13" max="13" width="24.85546875" style="9" customWidth="1"/>
    <col min="14" max="14" width="9.140625" style="1"/>
    <col min="15" max="15" width="11.5703125" style="1" bestFit="1" customWidth="1"/>
    <col min="16" max="16384" width="9.140625" style="1"/>
  </cols>
  <sheetData>
    <row r="1" spans="1:13" ht="41.25" customHeight="1" x14ac:dyDescent="0.25">
      <c r="A1" s="24" t="s">
        <v>47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8.25" customHeight="1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ht="23.25" customHeight="1" x14ac:dyDescent="0.25">
      <c r="D3" s="21" t="s">
        <v>42</v>
      </c>
      <c r="E3" s="22"/>
      <c r="F3" s="22"/>
      <c r="G3" s="22"/>
      <c r="H3" s="23"/>
      <c r="J3" s="21" t="s">
        <v>43</v>
      </c>
      <c r="K3" s="22"/>
      <c r="L3" s="23"/>
    </row>
    <row r="4" spans="1:13" s="5" customFormat="1" ht="53.25" customHeight="1" x14ac:dyDescent="0.25">
      <c r="D4" s="2" t="s">
        <v>0</v>
      </c>
      <c r="E4" s="3" t="s">
        <v>44</v>
      </c>
      <c r="F4" s="3" t="s">
        <v>45</v>
      </c>
      <c r="G4" s="3" t="s">
        <v>46</v>
      </c>
      <c r="H4" s="4" t="s">
        <v>41</v>
      </c>
      <c r="J4" s="2" t="s">
        <v>39</v>
      </c>
      <c r="K4" s="3" t="s">
        <v>38</v>
      </c>
      <c r="L4" s="4" t="s">
        <v>40</v>
      </c>
      <c r="M4" s="10" t="s">
        <v>50</v>
      </c>
    </row>
    <row r="5" spans="1:13" ht="18.75" x14ac:dyDescent="0.25">
      <c r="A5" s="11" t="s">
        <v>1</v>
      </c>
      <c r="F5" s="8"/>
    </row>
    <row r="6" spans="1:13" x14ac:dyDescent="0.25">
      <c r="A6" s="5" t="s">
        <v>2</v>
      </c>
      <c r="D6" s="18"/>
      <c r="F6" s="8"/>
    </row>
    <row r="7" spans="1:13" x14ac:dyDescent="0.25">
      <c r="B7" s="1" t="s">
        <v>3</v>
      </c>
      <c r="D7" s="16">
        <f>ROUND(+E7*(1+LEFT(C$54,1)/100),0)</f>
        <v>89731</v>
      </c>
      <c r="E7" s="6">
        <v>89731</v>
      </c>
      <c r="F7" s="7">
        <f t="shared" ref="F7:F12" si="0">IF(E7=0,"NA",(+D7-E7)/E7)</f>
        <v>0</v>
      </c>
      <c r="G7" s="6">
        <v>87117</v>
      </c>
      <c r="H7" s="7">
        <f t="shared" ref="H7:H12" si="1">IF(G7=0,"NA",(+D7-G7)/G7)</f>
        <v>3.0005624619764224E-2</v>
      </c>
      <c r="J7" s="6">
        <v>81037.41</v>
      </c>
      <c r="K7" s="6">
        <v>82253.38</v>
      </c>
      <c r="L7" s="7">
        <f t="shared" ref="L7:L12" si="2">IF(K7=0,"NA",(+J7-K7)/K7)</f>
        <v>-1.4783222282172491E-2</v>
      </c>
    </row>
    <row r="8" spans="1:13" ht="30" x14ac:dyDescent="0.25">
      <c r="B8" s="1" t="s">
        <v>4</v>
      </c>
      <c r="D8" s="6">
        <v>5500</v>
      </c>
      <c r="E8" s="6">
        <v>5500</v>
      </c>
      <c r="F8" s="7">
        <f t="shared" si="0"/>
        <v>0</v>
      </c>
      <c r="G8" s="6">
        <v>5500</v>
      </c>
      <c r="H8" s="7">
        <f t="shared" si="1"/>
        <v>0</v>
      </c>
      <c r="J8" s="6">
        <v>5041.63</v>
      </c>
      <c r="K8" s="6">
        <v>5041.63</v>
      </c>
      <c r="L8" s="7">
        <f t="shared" si="2"/>
        <v>0</v>
      </c>
      <c r="M8" s="9" t="s">
        <v>57</v>
      </c>
    </row>
    <row r="9" spans="1:13" ht="30" x14ac:dyDescent="0.25">
      <c r="B9" s="1" t="s">
        <v>5</v>
      </c>
      <c r="D9" s="6">
        <v>34340</v>
      </c>
      <c r="E9" s="6">
        <v>34603</v>
      </c>
      <c r="F9" s="7">
        <f t="shared" si="0"/>
        <v>-7.6004970667283185E-3</v>
      </c>
      <c r="G9" s="6">
        <v>33221</v>
      </c>
      <c r="H9" s="7">
        <f t="shared" si="1"/>
        <v>3.3683513440293793E-2</v>
      </c>
      <c r="J9" s="6">
        <v>31381.95</v>
      </c>
      <c r="K9" s="6">
        <v>31719.38</v>
      </c>
      <c r="L9" s="7">
        <f t="shared" si="2"/>
        <v>-1.0637975899907257E-2</v>
      </c>
      <c r="M9" s="9" t="s">
        <v>52</v>
      </c>
    </row>
    <row r="10" spans="1:13" x14ac:dyDescent="0.25">
      <c r="B10" s="1" t="s">
        <v>6</v>
      </c>
      <c r="D10" s="6">
        <v>4000</v>
      </c>
      <c r="E10" s="6">
        <v>4000</v>
      </c>
      <c r="F10" s="7">
        <f t="shared" si="0"/>
        <v>0</v>
      </c>
      <c r="G10" s="6">
        <v>5289</v>
      </c>
      <c r="H10" s="7">
        <f t="shared" si="1"/>
        <v>-0.24371336736623181</v>
      </c>
      <c r="J10" s="6">
        <v>4048.31</v>
      </c>
      <c r="K10" s="6">
        <v>3666.63</v>
      </c>
      <c r="L10" s="7">
        <f t="shared" si="2"/>
        <v>0.10409558641040952</v>
      </c>
    </row>
    <row r="11" spans="1:13" x14ac:dyDescent="0.25">
      <c r="B11" s="1" t="s">
        <v>7</v>
      </c>
      <c r="D11" s="6">
        <v>3000</v>
      </c>
      <c r="E11" s="6">
        <v>3000</v>
      </c>
      <c r="F11" s="7">
        <f t="shared" si="0"/>
        <v>0</v>
      </c>
      <c r="G11" s="6">
        <v>1180</v>
      </c>
      <c r="H11" s="7">
        <f t="shared" si="1"/>
        <v>1.5423728813559323</v>
      </c>
      <c r="J11" s="6">
        <v>1527.92</v>
      </c>
      <c r="K11" s="6">
        <v>2750</v>
      </c>
      <c r="L11" s="7">
        <f t="shared" si="2"/>
        <v>-0.44439272727272727</v>
      </c>
    </row>
    <row r="12" spans="1:13" s="5" customFormat="1" x14ac:dyDescent="0.25">
      <c r="A12" s="13" t="s">
        <v>8</v>
      </c>
      <c r="B12" s="13"/>
      <c r="C12" s="13"/>
      <c r="D12" s="13">
        <f>SUM(D7:D11)</f>
        <v>136571</v>
      </c>
      <c r="E12" s="13">
        <f>SUM(E7:E11)</f>
        <v>136834</v>
      </c>
      <c r="F12" s="14">
        <f t="shared" si="0"/>
        <v>-1.9220369206483768E-3</v>
      </c>
      <c r="G12" s="13">
        <f>SUM(G7:G11)</f>
        <v>132307</v>
      </c>
      <c r="H12" s="14">
        <f t="shared" si="1"/>
        <v>3.2228075612023552E-2</v>
      </c>
      <c r="J12" s="13">
        <f>SUM(J7:J11)</f>
        <v>123037.22</v>
      </c>
      <c r="K12" s="13">
        <f>SUM(K7:K11)</f>
        <v>125431.02000000002</v>
      </c>
      <c r="L12" s="14">
        <f t="shared" si="2"/>
        <v>-1.9084593268874135E-2</v>
      </c>
      <c r="M12" s="12"/>
    </row>
    <row r="13" spans="1:13" ht="6.75" customHeight="1" x14ac:dyDescent="0.25">
      <c r="F13" s="8"/>
    </row>
    <row r="14" spans="1:13" x14ac:dyDescent="0.25">
      <c r="A14" s="5" t="s">
        <v>9</v>
      </c>
      <c r="F14" s="8"/>
    </row>
    <row r="15" spans="1:13" x14ac:dyDescent="0.25">
      <c r="B15" s="1" t="s">
        <v>10</v>
      </c>
      <c r="D15" s="16">
        <f>ROUND(+E15*(1+LEFT(C$54,1)/100),0)</f>
        <v>11307</v>
      </c>
      <c r="E15" s="6">
        <v>11307</v>
      </c>
      <c r="F15" s="7">
        <f t="shared" ref="F15:F17" si="3">IF(E15=0,"NA",(+D15-E15)/E15)</f>
        <v>0</v>
      </c>
      <c r="G15" s="6">
        <v>10978</v>
      </c>
      <c r="H15" s="7">
        <f>IF(G15=0,"NA",(+D15-G15)/G15)</f>
        <v>2.9969028967024958E-2</v>
      </c>
      <c r="J15" s="6">
        <v>10364.86</v>
      </c>
      <c r="K15" s="6">
        <v>10364.75</v>
      </c>
      <c r="L15" s="7">
        <f>IF(K15=0,"NA",(+J15-K15)/K15)</f>
        <v>1.0612894667076589E-5</v>
      </c>
    </row>
    <row r="16" spans="1:13" x14ac:dyDescent="0.25">
      <c r="B16" s="1" t="s">
        <v>11</v>
      </c>
      <c r="D16" s="6">
        <v>5000</v>
      </c>
      <c r="E16" s="6">
        <v>5000</v>
      </c>
      <c r="F16" s="7">
        <f t="shared" si="3"/>
        <v>0</v>
      </c>
      <c r="G16" s="6">
        <v>5000</v>
      </c>
      <c r="H16" s="7">
        <f>IF(G16=0,"NA",(+D16-G16)/G16)</f>
        <v>0</v>
      </c>
      <c r="J16" s="6">
        <v>4583.26</v>
      </c>
      <c r="K16" s="6">
        <v>4583.37</v>
      </c>
      <c r="L16" s="7">
        <f>IF(K16=0,"NA",(+J16-K16)/K16)</f>
        <v>-2.3999808001464553E-5</v>
      </c>
    </row>
    <row r="17" spans="1:13" s="5" customFormat="1" x14ac:dyDescent="0.25">
      <c r="A17" s="13" t="s">
        <v>12</v>
      </c>
      <c r="B17" s="13"/>
      <c r="C17" s="13"/>
      <c r="D17" s="13">
        <f>SUM(D15:D16)</f>
        <v>16307</v>
      </c>
      <c r="E17" s="13">
        <f>SUM(E15:E16)</f>
        <v>16307</v>
      </c>
      <c r="F17" s="14">
        <f t="shared" si="3"/>
        <v>0</v>
      </c>
      <c r="G17" s="13">
        <f>SUM(G15:G16)</f>
        <v>15978</v>
      </c>
      <c r="H17" s="14">
        <f>IF(G17=0,"NA",(+D17-G17)/G17)</f>
        <v>2.0590812367004632E-2</v>
      </c>
      <c r="J17" s="13">
        <f>SUM(J15:J16)</f>
        <v>14948.12</v>
      </c>
      <c r="K17" s="13">
        <f>SUM(K15:K16)</f>
        <v>14948.119999999999</v>
      </c>
      <c r="L17" s="14">
        <f>IF(K17=0,"NA",(+J17-K17)/K17)</f>
        <v>1.2168683443442096E-16</v>
      </c>
      <c r="M17" s="12"/>
    </row>
    <row r="18" spans="1:13" ht="4.5" customHeight="1" x14ac:dyDescent="0.25">
      <c r="F18" s="8"/>
    </row>
    <row r="19" spans="1:13" x14ac:dyDescent="0.25">
      <c r="A19" s="5" t="s">
        <v>13</v>
      </c>
      <c r="F19" s="8"/>
    </row>
    <row r="20" spans="1:13" x14ac:dyDescent="0.25">
      <c r="B20" s="1" t="s">
        <v>10</v>
      </c>
      <c r="D20" s="16">
        <f>ROUND(+E20*(1+LEFT(C$54,1)/100),0)</f>
        <v>13527</v>
      </c>
      <c r="E20" s="6">
        <v>13527</v>
      </c>
      <c r="F20" s="7">
        <f t="shared" ref="F20:F22" si="4">IF(E20=0,"NA",(+D20-E20)/E20)</f>
        <v>0</v>
      </c>
      <c r="G20" s="6">
        <v>13133</v>
      </c>
      <c r="H20" s="7">
        <f>IF(G20=0,"NA",(+D20-G20)/G20)</f>
        <v>3.0000761440645701E-2</v>
      </c>
      <c r="J20" s="6">
        <v>12399.86</v>
      </c>
      <c r="K20" s="6">
        <v>12399.75</v>
      </c>
      <c r="L20" s="7">
        <f>IF(K20=0,"NA",(+J20-K20)/K20)</f>
        <v>8.8711465957444363E-6</v>
      </c>
    </row>
    <row r="21" spans="1:13" x14ac:dyDescent="0.25">
      <c r="B21" s="1" t="s">
        <v>14</v>
      </c>
      <c r="D21" s="6">
        <v>750</v>
      </c>
      <c r="E21" s="6">
        <v>1000</v>
      </c>
      <c r="F21" s="7">
        <f t="shared" si="4"/>
        <v>-0.25</v>
      </c>
      <c r="G21" s="6">
        <v>739</v>
      </c>
      <c r="H21" s="7">
        <f>IF(G21=0,"NA",(+D21-G21)/G21)</f>
        <v>1.4884979702300407E-2</v>
      </c>
      <c r="J21" s="6">
        <v>648.75</v>
      </c>
      <c r="K21" s="6">
        <v>916.63</v>
      </c>
      <c r="L21" s="7">
        <f>IF(K21=0,"NA",(+J21-K21)/K21)</f>
        <v>-0.29224441704940923</v>
      </c>
    </row>
    <row r="22" spans="1:13" s="5" customFormat="1" x14ac:dyDescent="0.25">
      <c r="A22" s="13" t="s">
        <v>15</v>
      </c>
      <c r="B22" s="13"/>
      <c r="C22" s="13"/>
      <c r="D22" s="13">
        <f>SUM(D20:D21)</f>
        <v>14277</v>
      </c>
      <c r="E22" s="13">
        <f>SUM(E20:E21)</f>
        <v>14527</v>
      </c>
      <c r="F22" s="14">
        <f t="shared" si="4"/>
        <v>-1.7209334342947614E-2</v>
      </c>
      <c r="G22" s="13">
        <f>SUM(G20:G21)</f>
        <v>13872</v>
      </c>
      <c r="H22" s="14">
        <f>IF(G22=0,"NA",(+D22-G22)/G22)</f>
        <v>2.9195501730103806E-2</v>
      </c>
      <c r="J22" s="13">
        <f>SUM(J20:J21)</f>
        <v>13048.61</v>
      </c>
      <c r="K22" s="13">
        <f>SUM(K20:K21)</f>
        <v>13316.38</v>
      </c>
      <c r="L22" s="14">
        <f>IF(K22=0,"NA",(+J22-K22)/K22)</f>
        <v>-2.0108317725988492E-2</v>
      </c>
      <c r="M22" s="12"/>
    </row>
    <row r="23" spans="1:13" ht="6" customHeight="1" x14ac:dyDescent="0.25">
      <c r="F23" s="8"/>
    </row>
    <row r="24" spans="1:13" x14ac:dyDescent="0.25">
      <c r="A24" s="5" t="s">
        <v>16</v>
      </c>
      <c r="F24" s="8"/>
    </row>
    <row r="25" spans="1:13" x14ac:dyDescent="0.25">
      <c r="B25" s="1" t="s">
        <v>10</v>
      </c>
      <c r="D25" s="6">
        <v>34954</v>
      </c>
      <c r="E25" s="6">
        <v>33246</v>
      </c>
      <c r="F25" s="7">
        <f t="shared" ref="F25:F31" si="5">IF(E25=0,"NA",(+D25-E25)/E25)</f>
        <v>5.1374601455814232E-2</v>
      </c>
      <c r="G25" s="6">
        <v>32277</v>
      </c>
      <c r="H25" s="7">
        <f t="shared" ref="H25:H31" si="6">IF(G25=0,"NA",(+D25-G25)/G25)</f>
        <v>8.2938315208972338E-2</v>
      </c>
      <c r="J25" s="6">
        <v>30475.5</v>
      </c>
      <c r="K25" s="6">
        <v>30475.5</v>
      </c>
      <c r="L25" s="7">
        <f t="shared" ref="L25:L31" si="7">IF(K25=0,"NA",(+J25-K25)/K25)</f>
        <v>0</v>
      </c>
      <c r="M25" s="9" t="s">
        <v>51</v>
      </c>
    </row>
    <row r="26" spans="1:13" ht="30" x14ac:dyDescent="0.25">
      <c r="B26" s="1" t="s">
        <v>5</v>
      </c>
      <c r="D26" s="6">
        <v>4999</v>
      </c>
      <c r="E26" s="6">
        <v>5087</v>
      </c>
      <c r="F26" s="7">
        <f t="shared" si="5"/>
        <v>-1.7298997444466287E-2</v>
      </c>
      <c r="G26" s="6">
        <v>4642</v>
      </c>
      <c r="H26" s="7">
        <f t="shared" si="6"/>
        <v>7.6906505816458429E-2</v>
      </c>
      <c r="J26" s="6">
        <v>4648.3900000000003</v>
      </c>
      <c r="K26" s="6">
        <v>4663.12</v>
      </c>
      <c r="L26" s="7">
        <f t="shared" si="7"/>
        <v>-3.1588292816825568E-3</v>
      </c>
      <c r="M26" s="9" t="s">
        <v>52</v>
      </c>
    </row>
    <row r="27" spans="1:13" x14ac:dyDescent="0.25">
      <c r="B27" s="1" t="s">
        <v>7</v>
      </c>
      <c r="D27" s="6">
        <v>750</v>
      </c>
      <c r="E27" s="6">
        <v>750</v>
      </c>
      <c r="F27" s="7">
        <f t="shared" si="5"/>
        <v>0</v>
      </c>
      <c r="G27" s="6">
        <v>106</v>
      </c>
      <c r="H27" s="7">
        <f t="shared" si="6"/>
        <v>6.0754716981132075</v>
      </c>
      <c r="J27" s="6">
        <v>387</v>
      </c>
      <c r="K27" s="6">
        <v>687.5</v>
      </c>
      <c r="L27" s="7">
        <f t="shared" si="7"/>
        <v>-0.43709090909090909</v>
      </c>
    </row>
    <row r="28" spans="1:13" x14ac:dyDescent="0.25">
      <c r="B28" s="1" t="s">
        <v>6</v>
      </c>
      <c r="D28" s="6">
        <v>2000</v>
      </c>
      <c r="E28" s="6">
        <v>2000</v>
      </c>
      <c r="F28" s="7">
        <f t="shared" si="5"/>
        <v>0</v>
      </c>
      <c r="G28" s="6">
        <v>2394</v>
      </c>
      <c r="H28" s="7">
        <f t="shared" si="6"/>
        <v>-0.16457811194653299</v>
      </c>
      <c r="J28" s="6">
        <v>2000</v>
      </c>
      <c r="K28" s="6">
        <v>1833.37</v>
      </c>
      <c r="L28" s="7">
        <f t="shared" si="7"/>
        <v>9.0887273163627699E-2</v>
      </c>
    </row>
    <row r="29" spans="1:13" x14ac:dyDescent="0.25">
      <c r="B29" s="1" t="s">
        <v>11</v>
      </c>
      <c r="D29" s="6">
        <v>1500</v>
      </c>
      <c r="E29" s="6">
        <v>1270</v>
      </c>
      <c r="F29" s="7">
        <f t="shared" si="5"/>
        <v>0.18110236220472442</v>
      </c>
      <c r="G29" s="6">
        <v>1240</v>
      </c>
      <c r="H29" s="7">
        <f t="shared" si="6"/>
        <v>0.20967741935483872</v>
      </c>
      <c r="J29" s="6">
        <v>990.1</v>
      </c>
      <c r="K29" s="6">
        <v>1164.1300000000001</v>
      </c>
      <c r="L29" s="7">
        <f t="shared" si="7"/>
        <v>-0.14949361325625152</v>
      </c>
    </row>
    <row r="30" spans="1:13" x14ac:dyDescent="0.25">
      <c r="B30" s="1" t="s">
        <v>17</v>
      </c>
      <c r="D30" s="6">
        <v>1116</v>
      </c>
      <c r="E30" s="6">
        <v>1000</v>
      </c>
      <c r="F30" s="7">
        <f t="shared" si="5"/>
        <v>0.11600000000000001</v>
      </c>
      <c r="G30" s="6">
        <v>0</v>
      </c>
      <c r="H30" s="7" t="str">
        <f t="shared" si="6"/>
        <v>NA</v>
      </c>
      <c r="J30" s="6">
        <v>964.59</v>
      </c>
      <c r="K30" s="6">
        <v>916.63</v>
      </c>
      <c r="L30" s="7">
        <f t="shared" si="7"/>
        <v>5.2322092883715386E-2</v>
      </c>
    </row>
    <row r="31" spans="1:13" s="5" customFormat="1" x14ac:dyDescent="0.25">
      <c r="A31" s="13" t="s">
        <v>18</v>
      </c>
      <c r="B31" s="13"/>
      <c r="C31" s="13"/>
      <c r="D31" s="13">
        <f>SUM(D25:D30)</f>
        <v>45319</v>
      </c>
      <c r="E31" s="13">
        <f>SUM(E25:E30)</f>
        <v>43353</v>
      </c>
      <c r="F31" s="14">
        <f t="shared" si="5"/>
        <v>4.5348649459091644E-2</v>
      </c>
      <c r="G31" s="13">
        <f>SUM(G25:G30)</f>
        <v>40659</v>
      </c>
      <c r="H31" s="14">
        <f t="shared" si="6"/>
        <v>0.11461177107159547</v>
      </c>
      <c r="J31" s="13">
        <f>SUM(J25:J30)</f>
        <v>39465.579999999994</v>
      </c>
      <c r="K31" s="13">
        <f>SUM(K25:K30)</f>
        <v>39740.25</v>
      </c>
      <c r="L31" s="14">
        <f t="shared" si="7"/>
        <v>-6.9116324129819395E-3</v>
      </c>
      <c r="M31" s="12"/>
    </row>
    <row r="32" spans="1:13" ht="6" customHeight="1" x14ac:dyDescent="0.25">
      <c r="F32" s="8"/>
    </row>
    <row r="33" spans="1:15" x14ac:dyDescent="0.25">
      <c r="A33" s="5" t="s">
        <v>19</v>
      </c>
      <c r="F33" s="8"/>
    </row>
    <row r="34" spans="1:15" x14ac:dyDescent="0.25">
      <c r="B34" s="1" t="s">
        <v>20</v>
      </c>
      <c r="D34" s="16">
        <f>ROUND(+E34*(1+LEFT(C$54,1)/100),0)</f>
        <v>9580</v>
      </c>
      <c r="E34" s="6">
        <v>9580</v>
      </c>
      <c r="F34" s="7">
        <f t="shared" ref="F34:F40" si="8">IF(E34=0,"NA",(+D34-E34)/E34)</f>
        <v>0</v>
      </c>
      <c r="G34" s="6">
        <v>9580</v>
      </c>
      <c r="H34" s="7">
        <f t="shared" ref="H34:H40" si="9">IF(G34=0,"NA",(+D34-G34)/G34)</f>
        <v>0</v>
      </c>
      <c r="J34" s="6">
        <v>8781.74</v>
      </c>
      <c r="K34" s="6">
        <v>8781.6299999999992</v>
      </c>
      <c r="L34" s="7">
        <f t="shared" ref="L34:L40" si="10">IF(K34=0,"NA",(+J34-K34)/K34)</f>
        <v>1.2526148334714864E-5</v>
      </c>
    </row>
    <row r="35" spans="1:15" x14ac:dyDescent="0.25">
      <c r="B35" s="1" t="s">
        <v>21</v>
      </c>
      <c r="D35" s="6">
        <v>500</v>
      </c>
      <c r="E35" s="6">
        <v>900</v>
      </c>
      <c r="F35" s="7">
        <f t="shared" si="8"/>
        <v>-0.44444444444444442</v>
      </c>
      <c r="G35" s="6">
        <v>400</v>
      </c>
      <c r="H35" s="7">
        <f t="shared" si="9"/>
        <v>0.25</v>
      </c>
      <c r="J35" s="6">
        <v>200</v>
      </c>
      <c r="K35" s="6">
        <v>825</v>
      </c>
      <c r="L35" s="7">
        <f t="shared" si="10"/>
        <v>-0.75757575757575757</v>
      </c>
    </row>
    <row r="36" spans="1:15" x14ac:dyDescent="0.25">
      <c r="B36" s="1" t="s">
        <v>22</v>
      </c>
      <c r="D36" s="16">
        <f t="shared" ref="D36:D38" si="11">ROUND(+E36*(1+LEFT(C$54,1)/100),0)</f>
        <v>17796</v>
      </c>
      <c r="E36" s="6">
        <v>17796</v>
      </c>
      <c r="F36" s="7">
        <f t="shared" si="8"/>
        <v>0</v>
      </c>
      <c r="G36" s="6">
        <v>17492</v>
      </c>
      <c r="H36" s="7">
        <f t="shared" si="9"/>
        <v>1.7379373427852732E-2</v>
      </c>
      <c r="J36" s="6">
        <v>16560.28</v>
      </c>
      <c r="K36" s="6">
        <v>16313</v>
      </c>
      <c r="L36" s="7">
        <f t="shared" si="10"/>
        <v>1.5158462575859672E-2</v>
      </c>
    </row>
    <row r="37" spans="1:15" x14ac:dyDescent="0.25">
      <c r="B37" s="1" t="s">
        <v>23</v>
      </c>
      <c r="D37" s="16">
        <f t="shared" si="11"/>
        <v>6581</v>
      </c>
      <c r="E37" s="6">
        <v>6581</v>
      </c>
      <c r="F37" s="7">
        <f t="shared" si="8"/>
        <v>0</v>
      </c>
      <c r="G37" s="6">
        <v>6389</v>
      </c>
      <c r="H37" s="7">
        <f t="shared" si="9"/>
        <v>3.005165127562999E-2</v>
      </c>
      <c r="J37" s="6">
        <v>5922.9</v>
      </c>
      <c r="K37" s="6">
        <v>5922.9</v>
      </c>
      <c r="L37" s="7">
        <f t="shared" si="10"/>
        <v>0</v>
      </c>
    </row>
    <row r="38" spans="1:15" x14ac:dyDescent="0.25">
      <c r="B38" s="1" t="s">
        <v>24</v>
      </c>
      <c r="D38" s="16">
        <f t="shared" si="11"/>
        <v>1698</v>
      </c>
      <c r="E38" s="6">
        <v>1698</v>
      </c>
      <c r="F38" s="7">
        <f t="shared" si="8"/>
        <v>0</v>
      </c>
      <c r="G38" s="6">
        <v>1697</v>
      </c>
      <c r="H38" s="7">
        <f t="shared" si="9"/>
        <v>5.8927519151443723E-4</v>
      </c>
      <c r="J38" s="6">
        <v>1555.95</v>
      </c>
      <c r="K38" s="6">
        <v>1556.5</v>
      </c>
      <c r="L38" s="7">
        <f t="shared" si="10"/>
        <v>-3.5335689045933472E-4</v>
      </c>
    </row>
    <row r="39" spans="1:15" x14ac:dyDescent="0.25">
      <c r="B39" s="1" t="s">
        <v>25</v>
      </c>
      <c r="D39" s="6">
        <v>2500</v>
      </c>
      <c r="E39" s="6">
        <v>2500</v>
      </c>
      <c r="F39" s="7">
        <f t="shared" si="8"/>
        <v>0</v>
      </c>
      <c r="G39" s="6">
        <v>2400</v>
      </c>
      <c r="H39" s="7">
        <f t="shared" si="9"/>
        <v>4.1666666666666664E-2</v>
      </c>
      <c r="J39" s="6">
        <v>2200</v>
      </c>
      <c r="K39" s="6">
        <v>2291.63</v>
      </c>
      <c r="L39" s="7">
        <f t="shared" si="10"/>
        <v>-3.9984639754236113E-2</v>
      </c>
    </row>
    <row r="40" spans="1:15" s="5" customFormat="1" x14ac:dyDescent="0.25">
      <c r="A40" s="13" t="s">
        <v>26</v>
      </c>
      <c r="B40" s="13"/>
      <c r="C40" s="13"/>
      <c r="D40" s="13">
        <f>SUM(D34:D39)</f>
        <v>38655</v>
      </c>
      <c r="E40" s="13">
        <f>SUM(E34:E39)</f>
        <v>39055</v>
      </c>
      <c r="F40" s="14">
        <f t="shared" si="8"/>
        <v>-1.0241966457559851E-2</v>
      </c>
      <c r="G40" s="13">
        <f>SUM(G34:G39)</f>
        <v>37958</v>
      </c>
      <c r="H40" s="14">
        <f t="shared" si="9"/>
        <v>1.8362400547974077E-2</v>
      </c>
      <c r="J40" s="13">
        <f>SUM(J34:J39)</f>
        <v>35220.869999999995</v>
      </c>
      <c r="K40" s="13">
        <f>SUM(K34:K39)</f>
        <v>35690.659999999996</v>
      </c>
      <c r="L40" s="14">
        <f t="shared" si="10"/>
        <v>-1.3162827473630382E-2</v>
      </c>
      <c r="M40" s="12"/>
    </row>
    <row r="41" spans="1:15" ht="6.75" customHeight="1" x14ac:dyDescent="0.25">
      <c r="F41" s="8"/>
    </row>
    <row r="42" spans="1:15" x14ac:dyDescent="0.25">
      <c r="A42" s="5" t="s">
        <v>27</v>
      </c>
      <c r="F42" s="8"/>
    </row>
    <row r="43" spans="1:15" ht="30" x14ac:dyDescent="0.25">
      <c r="B43" s="1" t="s">
        <v>48</v>
      </c>
      <c r="D43" s="20">
        <f>ROUND((13.66*(1+LEFT(C$54,1)/100))*18*50,0)</f>
        <v>12294</v>
      </c>
      <c r="E43" s="6">
        <v>10655</v>
      </c>
      <c r="F43" s="7">
        <f t="shared" ref="F43:F54" si="12">IF(E43=0,"NA",(+D43-E43)/E43)</f>
        <v>0.15382449554199906</v>
      </c>
      <c r="G43" s="6">
        <v>11830</v>
      </c>
      <c r="H43" s="7">
        <f t="shared" ref="H43:H54" si="13">IF(G43=0,"NA",(+D43-G43)/G43)</f>
        <v>3.9222316145393066E-2</v>
      </c>
      <c r="J43" s="6">
        <v>11464.97</v>
      </c>
      <c r="K43" s="6">
        <v>9767.1200000000008</v>
      </c>
      <c r="L43" s="7">
        <f t="shared" ref="L43:L54" si="14">IF(K43=0,"NA",(+J43-K43)/K43)</f>
        <v>0.1738332282187583</v>
      </c>
      <c r="M43" s="9" t="s">
        <v>58</v>
      </c>
      <c r="O43" s="15"/>
    </row>
    <row r="44" spans="1:15" ht="39.75" customHeight="1" x14ac:dyDescent="0.25">
      <c r="B44" s="1" t="s">
        <v>29</v>
      </c>
      <c r="D44" s="16">
        <f>ROUND(+E44/2*(LEFT(C$54,1)/100),0)+E44</f>
        <v>31118</v>
      </c>
      <c r="E44" s="6">
        <v>31118</v>
      </c>
      <c r="F44" s="7">
        <f t="shared" si="12"/>
        <v>0</v>
      </c>
      <c r="G44" s="6">
        <v>31785</v>
      </c>
      <c r="H44" s="7">
        <f t="shared" si="13"/>
        <v>-2.0984741230140002E-2</v>
      </c>
      <c r="J44" s="6">
        <v>31769.16</v>
      </c>
      <c r="K44" s="6">
        <v>28524.87</v>
      </c>
      <c r="L44" s="7">
        <f t="shared" si="14"/>
        <v>0.11373548766392277</v>
      </c>
      <c r="O44" s="15"/>
    </row>
    <row r="45" spans="1:15" x14ac:dyDescent="0.25">
      <c r="B45" s="1" t="s">
        <v>30</v>
      </c>
      <c r="D45" s="6">
        <v>500</v>
      </c>
      <c r="E45" s="6">
        <v>500</v>
      </c>
      <c r="F45" s="7">
        <f t="shared" si="12"/>
        <v>0</v>
      </c>
      <c r="G45" s="6">
        <v>569</v>
      </c>
      <c r="H45" s="7">
        <f t="shared" si="13"/>
        <v>-0.12126537785588752</v>
      </c>
      <c r="J45" s="6">
        <v>544.22</v>
      </c>
      <c r="K45" s="6">
        <v>458.37</v>
      </c>
      <c r="L45" s="7">
        <f t="shared" si="14"/>
        <v>0.18729410738050051</v>
      </c>
      <c r="O45" s="15"/>
    </row>
    <row r="46" spans="1:15" x14ac:dyDescent="0.25">
      <c r="B46" s="1" t="s">
        <v>31</v>
      </c>
      <c r="D46" s="6">
        <v>1000</v>
      </c>
      <c r="E46" s="6">
        <v>1000</v>
      </c>
      <c r="F46" s="7">
        <f t="shared" si="12"/>
        <v>0</v>
      </c>
      <c r="G46" s="6">
        <v>700</v>
      </c>
      <c r="H46" s="7">
        <f t="shared" si="13"/>
        <v>0.42857142857142855</v>
      </c>
      <c r="J46" s="6">
        <v>102.87</v>
      </c>
      <c r="K46" s="6">
        <v>916.63</v>
      </c>
      <c r="L46" s="7">
        <f t="shared" si="14"/>
        <v>-0.88777369276589246</v>
      </c>
      <c r="O46" s="15"/>
    </row>
    <row r="47" spans="1:15" ht="30" x14ac:dyDescent="0.25">
      <c r="B47" s="1" t="s">
        <v>32</v>
      </c>
      <c r="D47" s="6">
        <f>7.5*4*20</f>
        <v>600</v>
      </c>
      <c r="E47" s="6">
        <v>600</v>
      </c>
      <c r="F47" s="7">
        <f t="shared" si="12"/>
        <v>0</v>
      </c>
      <c r="G47" s="6">
        <v>770</v>
      </c>
      <c r="H47" s="7">
        <f t="shared" si="13"/>
        <v>-0.22077922077922077</v>
      </c>
      <c r="J47" s="6">
        <v>1298.29</v>
      </c>
      <c r="K47" s="6">
        <v>550</v>
      </c>
      <c r="L47" s="7">
        <f t="shared" si="14"/>
        <v>1.3605272727272726</v>
      </c>
      <c r="M47" s="9" t="s">
        <v>54</v>
      </c>
      <c r="N47" s="6"/>
      <c r="O47" s="15"/>
    </row>
    <row r="48" spans="1:15" x14ac:dyDescent="0.25">
      <c r="B48" s="1" t="s">
        <v>49</v>
      </c>
      <c r="D48" s="6">
        <f>11.5*30*50</f>
        <v>17250</v>
      </c>
      <c r="E48" s="6">
        <v>19282</v>
      </c>
      <c r="F48" s="7">
        <f t="shared" si="12"/>
        <v>-0.10538325899802925</v>
      </c>
      <c r="G48" s="6">
        <v>19111</v>
      </c>
      <c r="H48" s="7">
        <f t="shared" si="13"/>
        <v>-9.7378473130657742E-2</v>
      </c>
      <c r="J48" s="6">
        <v>20563.669999999998</v>
      </c>
      <c r="K48" s="6">
        <v>17675.13</v>
      </c>
      <c r="L48" s="7">
        <f t="shared" si="14"/>
        <v>0.1634239748165924</v>
      </c>
      <c r="M48" s="9" t="s">
        <v>53</v>
      </c>
      <c r="O48" s="15"/>
    </row>
    <row r="49" spans="1:15" x14ac:dyDescent="0.25">
      <c r="B49" s="1" t="s">
        <v>33</v>
      </c>
      <c r="D49" s="6">
        <v>9865</v>
      </c>
      <c r="E49" s="6">
        <v>10025</v>
      </c>
      <c r="F49" s="7">
        <f t="shared" si="12"/>
        <v>-1.596009975062344E-2</v>
      </c>
      <c r="G49" s="6">
        <v>9696</v>
      </c>
      <c r="H49" s="7">
        <f t="shared" si="13"/>
        <v>1.7429867986798679E-2</v>
      </c>
      <c r="J49" s="6">
        <v>7614.73</v>
      </c>
      <c r="K49" s="6">
        <v>9189.6200000000008</v>
      </c>
      <c r="L49" s="7">
        <f t="shared" si="14"/>
        <v>-0.1713770536757778</v>
      </c>
      <c r="M49" s="9" t="s">
        <v>56</v>
      </c>
      <c r="O49" s="15"/>
    </row>
    <row r="50" spans="1:15" x14ac:dyDescent="0.25">
      <c r="B50" s="1" t="s">
        <v>34</v>
      </c>
      <c r="D50" s="6">
        <v>3400</v>
      </c>
      <c r="E50" s="6">
        <v>3300</v>
      </c>
      <c r="F50" s="7">
        <f t="shared" si="12"/>
        <v>3.0303030303030304E-2</v>
      </c>
      <c r="G50" s="6">
        <v>3120</v>
      </c>
      <c r="H50" s="7">
        <f t="shared" si="13"/>
        <v>8.9743589743589744E-2</v>
      </c>
      <c r="J50" s="6">
        <v>2455</v>
      </c>
      <c r="K50" s="6">
        <v>3300</v>
      </c>
      <c r="L50" s="7">
        <f t="shared" si="14"/>
        <v>-0.25606060606060604</v>
      </c>
      <c r="M50" s="19" t="s">
        <v>56</v>
      </c>
    </row>
    <row r="51" spans="1:15" x14ac:dyDescent="0.25">
      <c r="B51" s="1" t="s">
        <v>35</v>
      </c>
      <c r="D51" s="6">
        <v>600</v>
      </c>
      <c r="E51" s="6">
        <v>600</v>
      </c>
      <c r="F51" s="7">
        <f t="shared" si="12"/>
        <v>0</v>
      </c>
      <c r="G51" s="6">
        <v>700</v>
      </c>
      <c r="H51" s="7">
        <f t="shared" si="13"/>
        <v>-0.14285714285714285</v>
      </c>
      <c r="J51" s="6">
        <v>1050</v>
      </c>
      <c r="K51" s="6">
        <v>550</v>
      </c>
      <c r="L51" s="7">
        <f t="shared" si="14"/>
        <v>0.90909090909090906</v>
      </c>
    </row>
    <row r="52" spans="1:15" x14ac:dyDescent="0.25">
      <c r="B52" s="1" t="s">
        <v>36</v>
      </c>
      <c r="D52" s="6">
        <v>-5000</v>
      </c>
      <c r="E52" s="6">
        <v>-4000</v>
      </c>
      <c r="F52" s="7">
        <f t="shared" si="12"/>
        <v>0.25</v>
      </c>
      <c r="G52" s="6">
        <v>-4000</v>
      </c>
      <c r="H52" s="7">
        <f t="shared" si="13"/>
        <v>0.25</v>
      </c>
      <c r="J52" s="6">
        <v>-4000</v>
      </c>
      <c r="K52" s="6">
        <v>-4000</v>
      </c>
      <c r="L52" s="7">
        <f t="shared" si="14"/>
        <v>0</v>
      </c>
      <c r="M52" s="9" t="s">
        <v>55</v>
      </c>
    </row>
    <row r="53" spans="1:15" s="5" customFormat="1" x14ac:dyDescent="0.25">
      <c r="A53" s="13" t="s">
        <v>28</v>
      </c>
      <c r="B53" s="13"/>
      <c r="C53" s="13"/>
      <c r="D53" s="13">
        <f>SUM(D43:D52)</f>
        <v>71627</v>
      </c>
      <c r="E53" s="13">
        <f>SUM(E43:E52)</f>
        <v>73080</v>
      </c>
      <c r="F53" s="14">
        <f t="shared" si="12"/>
        <v>-1.9882320744389712E-2</v>
      </c>
      <c r="G53" s="13">
        <f>SUM(G43:G52)</f>
        <v>74281</v>
      </c>
      <c r="H53" s="14">
        <f t="shared" si="13"/>
        <v>-3.5729190506320591E-2</v>
      </c>
      <c r="J53" s="13">
        <f>SUM(J43:J52)</f>
        <v>72862.909999999989</v>
      </c>
      <c r="K53" s="13">
        <f>SUM(K43:K52)</f>
        <v>66931.739999999991</v>
      </c>
      <c r="L53" s="14">
        <f t="shared" si="14"/>
        <v>8.8615207075148486E-2</v>
      </c>
      <c r="M53" s="12"/>
    </row>
    <row r="54" spans="1:15" x14ac:dyDescent="0.25">
      <c r="A54" s="13" t="s">
        <v>37</v>
      </c>
      <c r="B54" s="13"/>
      <c r="C54" s="17" t="str">
        <f>0*100%&amp;"% Cost of Living"</f>
        <v>0% Cost of Living</v>
      </c>
      <c r="D54" s="13">
        <f>+D12+D17+D22+D31+D40+D53</f>
        <v>322756</v>
      </c>
      <c r="E54" s="13">
        <f>+E12+E17+E22+E31+E40+E53</f>
        <v>323156</v>
      </c>
      <c r="F54" s="14">
        <f t="shared" si="12"/>
        <v>-1.2377922737006276E-3</v>
      </c>
      <c r="G54" s="13">
        <f t="shared" ref="G54" si="15">+G12+G17+G22+G31+G40+G53</f>
        <v>315055</v>
      </c>
      <c r="H54" s="14">
        <f t="shared" si="13"/>
        <v>2.4443351160908414E-2</v>
      </c>
      <c r="J54" s="13">
        <f t="shared" ref="J54:K54" si="16">+J12+J17+J22+J31+J40+J53</f>
        <v>298583.31</v>
      </c>
      <c r="K54" s="13">
        <f t="shared" si="16"/>
        <v>296058.17000000004</v>
      </c>
      <c r="L54" s="14">
        <f t="shared" si="14"/>
        <v>8.5292022172533035E-3</v>
      </c>
    </row>
    <row r="55" spans="1:15" ht="8.25" customHeight="1" x14ac:dyDescent="0.25">
      <c r="F55" s="8"/>
    </row>
  </sheetData>
  <mergeCells count="4">
    <mergeCell ref="J3:L3"/>
    <mergeCell ref="D3:H3"/>
    <mergeCell ref="A1:M1"/>
    <mergeCell ref="A2:M2"/>
  </mergeCells>
  <pageMargins left="0" right="0" top="0" bottom="0" header="0.3" footer="0.3"/>
  <pageSetup scale="64" fitToHeight="0" orientation="portrait" r:id="rId1"/>
  <headerFooter>
    <oddFooter>&amp;C&amp;P of &amp;N&amp;R&amp;D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Proposed 12_1_11</vt:lpstr>
      <vt:lpstr>'Proposed 12_1_11'!Print_Titles</vt:lpstr>
    </vt:vector>
  </TitlesOfParts>
  <Company>S.C. Johnson and Son,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Jacobson, Dawn M.</dc:creator>
  <cp:lastModifiedBy>Jacobson, Dawn M.</cp:lastModifiedBy>
  <cp:lastPrinted>2011-12-16T19:28:41Z</cp:lastPrinted>
  <dcterms:created xsi:type="dcterms:W3CDTF">2011-12-01T18:07:46Z</dcterms:created>
  <dcterms:modified xsi:type="dcterms:W3CDTF">2012-01-17T15:20:59Z</dcterms:modified>
</cp:coreProperties>
</file>